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F5D034A-9D41-407F-9025-BE166AAA031C}" xr6:coauthVersionLast="47" xr6:coauthVersionMax="47" xr10:uidLastSave="{00000000-0000-0000-0000-000000000000}"/>
  <bookViews>
    <workbookView xWindow="-108" yWindow="-108" windowWidth="23256" windowHeight="11964" xr2:uid="{5D1E91B0-EAAD-4C03-B9EC-8363C04A09A1}"/>
  </bookViews>
  <sheets>
    <sheet name="Hoa hong luy tien" sheetId="1" r:id="rId1"/>
  </sheets>
  <externalReferences>
    <externalReference r:id="rId2"/>
  </externalReferences>
  <definedNames>
    <definedName name="_Fill" hidden="1">#REF!</definedName>
    <definedName name="vertex42_copyright" hidden="1">"© 2018 Vertex42 LLC"</definedName>
    <definedName name="vertex42_id" hidden="1">"work-schedule-with-icons.xlsx"</definedName>
    <definedName name="vertex42_title" hidden="1">"Work Schedule with Icons"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1" l="1"/>
  <c r="P54" i="1"/>
  <c r="P53" i="1"/>
  <c r="P52" i="1"/>
  <c r="P51" i="1"/>
  <c r="P50" i="1"/>
  <c r="L42" i="1"/>
  <c r="J42" i="1"/>
  <c r="O36" i="1"/>
  <c r="M36" i="1"/>
  <c r="I36" i="1"/>
  <c r="K36" i="1" s="1"/>
  <c r="O35" i="1"/>
  <c r="M35" i="1"/>
  <c r="K35" i="1"/>
  <c r="I35" i="1"/>
  <c r="E25" i="1"/>
  <c r="I22" i="1"/>
  <c r="D13" i="1"/>
  <c r="G15" i="1" s="1"/>
  <c r="D12" i="1"/>
  <c r="D11" i="1"/>
  <c r="J11" i="1" s="1"/>
  <c r="D10" i="1"/>
  <c r="J10" i="1" s="1"/>
  <c r="D9" i="1"/>
  <c r="E7" i="1"/>
  <c r="J12" i="1" s="1"/>
  <c r="E6" i="1"/>
  <c r="E5" i="1"/>
  <c r="I21" i="1" s="1"/>
  <c r="H52" i="1" l="1"/>
  <c r="H50" i="1"/>
  <c r="H54" i="1"/>
  <c r="J15" i="1"/>
  <c r="C34" i="1"/>
  <c r="G14" i="1"/>
  <c r="L14" i="1" s="1"/>
  <c r="F54" i="1"/>
  <c r="F50" i="1"/>
  <c r="F52" i="1"/>
  <c r="J13" i="1"/>
  <c r="F55" i="1"/>
  <c r="F51" i="1"/>
  <c r="F53" i="1"/>
  <c r="F21" i="1"/>
  <c r="E8" i="1"/>
  <c r="J9" i="1"/>
  <c r="E26" i="1" s="1"/>
  <c r="E27" i="1" s="1"/>
  <c r="D42" i="1"/>
  <c r="E42" i="1" s="1"/>
  <c r="G42" i="1" s="1"/>
  <c r="G36" i="1"/>
  <c r="I19" i="1" l="1"/>
  <c r="F19" i="1"/>
  <c r="H53" i="1"/>
  <c r="E53" i="1" s="1"/>
  <c r="O53" i="1" s="1"/>
  <c r="D34" i="1"/>
  <c r="G35" i="1"/>
  <c r="I42" i="1"/>
  <c r="K42" i="1" s="1"/>
  <c r="O42" i="1"/>
  <c r="M42" i="1"/>
  <c r="H55" i="1"/>
  <c r="H51" i="1"/>
  <c r="C39" i="1" l="1"/>
  <c r="J14" i="1"/>
  <c r="I20" i="1"/>
  <c r="D39" i="1" s="1"/>
  <c r="C38" i="1" l="1"/>
  <c r="C41" i="1"/>
  <c r="L48" i="1"/>
  <c r="J39" i="1"/>
  <c r="L39" i="1" s="1"/>
  <c r="C37" i="1"/>
  <c r="C40" i="1"/>
  <c r="C35" i="1"/>
  <c r="C36" i="1"/>
  <c r="E28" i="1"/>
  <c r="L49" i="1"/>
  <c r="L51" i="1" s="1"/>
  <c r="E51" i="1" s="1"/>
  <c r="O51" i="1" s="1"/>
  <c r="E39" i="1"/>
  <c r="J36" i="1" l="1"/>
  <c r="L36" i="1" s="1"/>
  <c r="D36" i="1"/>
  <c r="I49" i="1" s="1"/>
  <c r="I48" i="1"/>
  <c r="J35" i="1"/>
  <c r="L35" i="1" s="1"/>
  <c r="D35" i="1"/>
  <c r="D40" i="1"/>
  <c r="M48" i="1"/>
  <c r="J40" i="1"/>
  <c r="L40" i="1" s="1"/>
  <c r="N40" i="1"/>
  <c r="P40" i="1" s="1"/>
  <c r="J37" i="1"/>
  <c r="L37" i="1" s="1"/>
  <c r="D37" i="1"/>
  <c r="J48" i="1"/>
  <c r="N48" i="1"/>
  <c r="J41" i="1"/>
  <c r="L41" i="1" s="1"/>
  <c r="D41" i="1"/>
  <c r="D38" i="1"/>
  <c r="K48" i="1"/>
  <c r="J38" i="1"/>
  <c r="L38" i="1" s="1"/>
  <c r="O39" i="1"/>
  <c r="M39" i="1"/>
  <c r="I39" i="1"/>
  <c r="K39" i="1" s="1"/>
  <c r="G39" i="1"/>
  <c r="K49" i="1" l="1"/>
  <c r="K50" i="1" s="1"/>
  <c r="E50" i="1" s="1"/>
  <c r="O50" i="1" s="1"/>
  <c r="E38" i="1"/>
  <c r="M49" i="1"/>
  <c r="M54" i="1" s="1"/>
  <c r="E54" i="1" s="1"/>
  <c r="O54" i="1" s="1"/>
  <c r="E40" i="1"/>
  <c r="J49" i="1"/>
  <c r="J52" i="1" s="1"/>
  <c r="E52" i="1" s="1"/>
  <c r="O52" i="1" s="1"/>
  <c r="E37" i="1"/>
  <c r="E41" i="1"/>
  <c r="N49" i="1"/>
  <c r="N55" i="1" s="1"/>
  <c r="E55" i="1" s="1"/>
  <c r="O55" i="1" s="1"/>
  <c r="I41" i="1" l="1"/>
  <c r="K41" i="1" s="1"/>
  <c r="O41" i="1"/>
  <c r="M41" i="1"/>
  <c r="G41" i="1"/>
  <c r="I37" i="1"/>
  <c r="K37" i="1" s="1"/>
  <c r="O37" i="1"/>
  <c r="M37" i="1"/>
  <c r="G37" i="1"/>
  <c r="I40" i="1"/>
  <c r="K40" i="1" s="1"/>
  <c r="O40" i="1"/>
  <c r="M40" i="1"/>
  <c r="G40" i="1"/>
  <c r="M38" i="1"/>
  <c r="I38" i="1"/>
  <c r="K38" i="1" s="1"/>
  <c r="O38" i="1"/>
  <c r="G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KinhcanLap</author>
  </authors>
  <commentList>
    <comment ref="H48" authorId="0" shapeId="0" xr:uid="{CED5A7D9-84A5-4745-B068-8993550C6C3A}">
      <text>
        <r>
          <rPr>
            <b/>
            <sz val="8"/>
            <color indexed="81"/>
            <rFont val="Tahoma"/>
            <family val="2"/>
            <charset val="163"/>
          </rPr>
          <t>KinhcanLap:</t>
        </r>
        <r>
          <rPr>
            <sz val="8"/>
            <color indexed="81"/>
            <rFont val="Tahoma"/>
            <family val="2"/>
            <charset val="163"/>
          </rPr>
          <t xml:space="preserve">
Giả định không đạt doanh thu nhưng vẫn đạt KPI</t>
        </r>
      </text>
    </comment>
  </commentList>
</comments>
</file>

<file path=xl/sharedStrings.xml><?xml version="1.0" encoding="utf-8"?>
<sst xmlns="http://schemas.openxmlformats.org/spreadsheetml/2006/main" count="121" uniqueCount="68">
  <si>
    <t>BÁNG TÍNH CHÍNH SÁCH HOA HỒNG</t>
  </si>
  <si>
    <t>Nguyễn Hùng Cường | kinhcan24 | blognhansu.net.vn</t>
  </si>
  <si>
    <t>Phương án dành cho chắm sóc khách bán lẻ</t>
  </si>
  <si>
    <t>Giả sử</t>
  </si>
  <si>
    <t>CSKH</t>
  </si>
  <si>
    <t xml:space="preserve">bậc </t>
  </si>
  <si>
    <t>có</t>
  </si>
  <si>
    <t>Lương</t>
  </si>
  <si>
    <t>P1</t>
  </si>
  <si>
    <t>triệu</t>
  </si>
  <si>
    <t>P2</t>
  </si>
  <si>
    <t>Tổng thưởng</t>
  </si>
  <si>
    <t>P3</t>
  </si>
  <si>
    <t>Tổng thu nhập của CSKH</t>
  </si>
  <si>
    <t xml:space="preserve">Trích lại </t>
  </si>
  <si>
    <t>%</t>
  </si>
  <si>
    <t>cho tích lũy lương tháng 13</t>
  </si>
  <si>
    <t>thành tiền</t>
  </si>
  <si>
    <t>cho KPI quý</t>
  </si>
  <si>
    <t>thưởng KPI tháng</t>
  </si>
  <si>
    <t>cho quà thưởng tháng</t>
  </si>
  <si>
    <t>Còn lại</t>
  </si>
  <si>
    <t>dành cho thưởng hoa hồng</t>
  </si>
  <si>
    <t xml:space="preserve">Số tiền thưởng hoa hồng theo </t>
  </si>
  <si>
    <t xml:space="preserve">khi đạt doanh thu </t>
  </si>
  <si>
    <t>là</t>
  </si>
  <si>
    <t>Tỷ lệ chi phí cho CSKH/ doanh thu</t>
  </si>
  <si>
    <t>Suy ra</t>
  </si>
  <si>
    <t>Tổng doanh thu, CSKH cần có để được tổng thu nhập là</t>
  </si>
  <si>
    <t>% hoa hồng theo tổng doanh thu</t>
  </si>
  <si>
    <t>Tổng doanh thu tối thiểu, CSKH cần làm để đạt thu nhập</t>
  </si>
  <si>
    <t>% hoa hồng theo tổng doanh thu tối thiểu</t>
  </si>
  <si>
    <t>Giả sử tiếp</t>
  </si>
  <si>
    <t>Nếu CSKH đạt doanh thu là</t>
  </si>
  <si>
    <t>Thì tổng tiền trích cho CSKH là</t>
  </si>
  <si>
    <t>Số tiền còn lại để tính hoa hồng</t>
  </si>
  <si>
    <t>Tỷ lệ % hoa hồng/ doanh thu</t>
  </si>
  <si>
    <t>Như vậy % yêu cầu tối thiểu</t>
  </si>
  <si>
    <t>Doanh thu</t>
  </si>
  <si>
    <t>% hoa hồng</t>
  </si>
  <si>
    <t>Thành tiền</t>
  </si>
  <si>
    <t>Đơn vị</t>
  </si>
  <si>
    <t>Tính theo tháng</t>
  </si>
  <si>
    <t>Tổng thực nhận của nhân viên</t>
  </si>
  <si>
    <t>Tổng thu nhập của NV</t>
  </si>
  <si>
    <t>Thực nhận</t>
  </si>
  <si>
    <t>Tổng thu nhập</t>
  </si>
  <si>
    <t>Bậc 1</t>
  </si>
  <si>
    <t>Bậc 2</t>
  </si>
  <si>
    <t>Bậc 3</t>
  </si>
  <si>
    <t>Mức mới</t>
  </si>
  <si>
    <t>Mức cũ</t>
  </si>
  <si>
    <t>Min</t>
  </si>
  <si>
    <t>Bảng tính thử của nhân viên bậc 1</t>
  </si>
  <si>
    <t>Thu nhập</t>
  </si>
  <si>
    <t>P1+P2</t>
  </si>
  <si>
    <t>%HT KPI</t>
  </si>
  <si>
    <t>Thưởng P3</t>
  </si>
  <si>
    <t>% doanh thu</t>
  </si>
  <si>
    <t>Định mức tối đa</t>
  </si>
  <si>
    <t>&gt;=</t>
  </si>
  <si>
    <t>KPI</t>
  </si>
  <si>
    <t>Cường</t>
  </si>
  <si>
    <t>bình</t>
  </si>
  <si>
    <t>thư</t>
  </si>
  <si>
    <t>Phượng</t>
  </si>
  <si>
    <t>Hùng</t>
  </si>
  <si>
    <t>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</si>
</sst>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  <charset val="163"/>
    </font>
    <font>
      <i/>
      <sz val="11"/>
      <color theme="1"/>
      <name val="Arial"/>
      <family val="2"/>
    </font>
    <font>
      <sz val="11"/>
      <color theme="1"/>
      <name val="Arial"/>
      <family val="2"/>
      <charset val="163"/>
    </font>
    <font>
      <sz val="11"/>
      <color theme="9" tint="-0.499984740745262"/>
      <name val="Calibri"/>
      <family val="2"/>
      <charset val="163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8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1" applyFont="1" applyFill="1" applyAlignment="1">
      <alignment horizontal="center"/>
    </xf>
    <xf numFmtId="0" fontId="3" fillId="0" borderId="0" xfId="1"/>
    <xf numFmtId="0" fontId="5" fillId="0" borderId="0" xfId="1" applyFont="1"/>
    <xf numFmtId="0" fontId="6" fillId="0" borderId="0" xfId="1" applyFont="1"/>
    <xf numFmtId="0" fontId="3" fillId="0" borderId="0" xfId="1" applyAlignment="1">
      <alignment horizontal="center" vertical="center"/>
    </xf>
    <xf numFmtId="3" fontId="3" fillId="0" borderId="0" xfId="1" applyNumberFormat="1" applyAlignment="1">
      <alignment horizontal="center" vertical="center"/>
    </xf>
    <xf numFmtId="4" fontId="6" fillId="0" borderId="0" xfId="1" applyNumberFormat="1" applyFont="1"/>
    <xf numFmtId="4" fontId="3" fillId="0" borderId="0" xfId="1" applyNumberFormat="1" applyAlignment="1">
      <alignment horizontal="center" vertical="center"/>
    </xf>
    <xf numFmtId="164" fontId="3" fillId="0" borderId="0" xfId="1" applyNumberFormat="1"/>
    <xf numFmtId="3" fontId="6" fillId="0" borderId="0" xfId="1" applyNumberFormat="1" applyFont="1" applyAlignment="1">
      <alignment horizontal="center" vertical="center"/>
    </xf>
    <xf numFmtId="164" fontId="6" fillId="0" borderId="0" xfId="1" applyNumberFormat="1" applyFont="1"/>
    <xf numFmtId="0" fontId="3" fillId="2" borderId="0" xfId="1" applyFill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4" fontId="3" fillId="0" borderId="0" xfId="1" applyNumberFormat="1"/>
    <xf numFmtId="164" fontId="0" fillId="0" borderId="0" xfId="2" applyNumberFormat="1" applyFont="1" applyAlignment="1"/>
    <xf numFmtId="9" fontId="0" fillId="0" borderId="0" xfId="2" applyFont="1" applyAlignment="1"/>
    <xf numFmtId="0" fontId="6" fillId="0" borderId="1" xfId="1" applyFont="1" applyBorder="1"/>
    <xf numFmtId="9" fontId="6" fillId="0" borderId="1" xfId="1" applyNumberFormat="1" applyFont="1" applyBorder="1"/>
    <xf numFmtId="0" fontId="6" fillId="0" borderId="1" xfId="1" applyFont="1" applyBorder="1" applyAlignment="1">
      <alignment horizontal="center" vertical="center"/>
    </xf>
    <xf numFmtId="10" fontId="3" fillId="0" borderId="1" xfId="1" applyNumberForma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" fontId="3" fillId="0" borderId="1" xfId="1" applyNumberForma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3" fillId="2" borderId="0" xfId="1" applyFill="1"/>
    <xf numFmtId="9" fontId="6" fillId="2" borderId="1" xfId="1" applyNumberFormat="1" applyFont="1" applyFill="1" applyBorder="1"/>
    <xf numFmtId="0" fontId="3" fillId="2" borderId="1" xfId="1" applyFill="1" applyBorder="1" applyAlignment="1">
      <alignment horizontal="center"/>
    </xf>
    <xf numFmtId="10" fontId="3" fillId="2" borderId="1" xfId="1" applyNumberFormat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4" fontId="3" fillId="2" borderId="1" xfId="1" applyNumberForma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9" fontId="3" fillId="0" borderId="1" xfId="1" applyNumberFormat="1" applyBorder="1"/>
    <xf numFmtId="0" fontId="3" fillId="0" borderId="1" xfId="1" applyBorder="1" applyAlignment="1">
      <alignment horizontal="center"/>
    </xf>
    <xf numFmtId="0" fontId="3" fillId="0" borderId="1" xfId="1" applyBorder="1"/>
    <xf numFmtId="165" fontId="7" fillId="0" borderId="1" xfId="3" applyNumberFormat="1" applyFont="1" applyFill="1" applyBorder="1"/>
    <xf numFmtId="164" fontId="7" fillId="0" borderId="1" xfId="2" applyNumberFormat="1" applyFont="1" applyFill="1" applyBorder="1"/>
    <xf numFmtId="165" fontId="7" fillId="0" borderId="1" xfId="3" applyNumberFormat="1" applyFont="1" applyBorder="1"/>
    <xf numFmtId="164" fontId="0" fillId="0" borderId="1" xfId="2" applyNumberFormat="1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165" fontId="0" fillId="0" borderId="1" xfId="3" applyNumberFormat="1" applyFont="1" applyBorder="1"/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/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vertical="center"/>
    </xf>
    <xf numFmtId="0" fontId="12" fillId="3" borderId="1" xfId="1" applyFont="1" applyFill="1" applyBorder="1"/>
    <xf numFmtId="0" fontId="3" fillId="3" borderId="1" xfId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9" fontId="2" fillId="3" borderId="1" xfId="1" quotePrefix="1" applyNumberFormat="1" applyFont="1" applyFill="1" applyBorder="1" applyAlignment="1">
      <alignment horizontal="center" vertical="center"/>
    </xf>
    <xf numFmtId="164" fontId="2" fillId="3" borderId="1" xfId="1" quotePrefix="1" applyNumberFormat="1" applyFont="1" applyFill="1" applyBorder="1" applyAlignment="1">
      <alignment horizontal="center" vertical="center"/>
    </xf>
    <xf numFmtId="10" fontId="3" fillId="3" borderId="1" xfId="1" applyNumberFormat="1" applyFill="1" applyBorder="1"/>
  </cellXfs>
  <cellStyles count="4">
    <cellStyle name="Comma 4" xfId="3" xr:uid="{33E67CCC-5ECF-4DA0-B058-1E435C9FF3F1}"/>
    <cellStyle name="Normal" xfId="0" builtinId="0"/>
    <cellStyle name="Normal 20" xfId="1" xr:uid="{79B724ED-B342-4D8F-B70D-85F666244274}"/>
    <cellStyle name="Percent 4" xfId="2" xr:uid="{0B9CAEB2-CAFB-4EDA-AB53-54D30BCA7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KC24%20Train\HR%20traning%20chuyen%20sau\3.%20Dung%20-%20QLTHCV%20(Quan%20ly%20thuc%20hien%20cong%20viec)\BSCvsKPI%20online\G24\San%20pham\BSCvsKPI%2024%20P3%205%20Chinh%20sach%20luong%203P%20Kinh%20doanh%20cong%20ty%20hoa%20Sakura.xlsx" TargetMode="External"/><Relationship Id="rId1" Type="http://schemas.openxmlformats.org/officeDocument/2006/relationships/externalLinkPath" Target="file:///D:\KC24%20Train\HR%20traning%20chuyen%20sau\3.%20Dung%20-%20QLTHCV%20(Quan%20ly%20thuc%20hien%20cong%20viec)\BSCvsKPI%20online\G24\San%20pham\BSCvsKPI%2024%20P3%205%20Chinh%20sach%20luong%203P%20Kinh%20doanh%20cong%20ty%20hoa%20Sak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g ty"/>
      <sheetName val="XDCL ver CEO"/>
      <sheetName val="XDCL ver non CEO"/>
      <sheetName val="BĐCL Sakura"/>
      <sheetName val="BSC  KPI CEO"/>
      <sheetName val="Ty trong"/>
      <sheetName val="O-KR"/>
      <sheetName val="KPI p KD Marketing"/>
      <sheetName val="Co cau to chuc p KD"/>
      <sheetName val="JD - KPI "/>
      <sheetName val="KPI TP KD - CEO"/>
      <sheetName val="KPI TP KD - CEO final"/>
      <sheetName val="CSKH"/>
      <sheetName val="CSKH final"/>
      <sheetName val="CSKH final ngan xep"/>
      <sheetName val="Dinh muc lao dong"/>
      <sheetName val="Du lieu"/>
      <sheetName val="QT DG"/>
      <sheetName val="CS"/>
      <sheetName val="Tinh thu chinh sach"/>
      <sheetName val="Hoa hong luy tien"/>
      <sheetName val="PA ap dung vao DN"/>
      <sheetName val="KH trien khai"/>
      <sheetName val="He thong QTNS"/>
      <sheetName val="3p"/>
      <sheetName val="Luu do thiet ke BSC - KPI"/>
      <sheetName val="KPI - 3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H10">
            <v>0.21499999999999997</v>
          </cell>
          <cell r="I10">
            <v>0.05</v>
          </cell>
        </row>
        <row r="13">
          <cell r="M13">
            <v>0.15</v>
          </cell>
          <cell r="O13">
            <v>8.5000000000000006E-2</v>
          </cell>
        </row>
        <row r="14">
          <cell r="E14">
            <v>7</v>
          </cell>
          <cell r="F14">
            <v>0</v>
          </cell>
          <cell r="G14">
            <v>7</v>
          </cell>
        </row>
        <row r="15">
          <cell r="I15">
            <v>0.45</v>
          </cell>
          <cell r="M15">
            <v>1.3499999999999999</v>
          </cell>
          <cell r="O15">
            <v>0.76500000000000001</v>
          </cell>
          <cell r="T15">
            <v>10.934999999999999</v>
          </cell>
        </row>
        <row r="16">
          <cell r="I16">
            <v>0.55000000000000004</v>
          </cell>
          <cell r="M16">
            <v>1.65</v>
          </cell>
          <cell r="O16">
            <v>0.93500000000000005</v>
          </cell>
          <cell r="T16">
            <v>13.365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5C85-F826-46CF-B73B-52F7A34471A6}">
  <dimension ref="A1:P55"/>
  <sheetViews>
    <sheetView tabSelected="1" workbookViewId="0">
      <selection activeCell="F43" sqref="F43"/>
    </sheetView>
  </sheetViews>
  <sheetFormatPr defaultColWidth="9" defaultRowHeight="13.8" x14ac:dyDescent="0.25"/>
  <cols>
    <col min="1" max="1" width="6.21875" style="2" customWidth="1"/>
    <col min="2" max="2" width="6.5546875" style="2" customWidth="1"/>
    <col min="3" max="3" width="17" style="2" customWidth="1"/>
    <col min="4" max="4" width="26" style="2" bestFit="1" customWidth="1"/>
    <col min="5" max="5" width="12" style="2" customWidth="1"/>
    <col min="6" max="6" width="23.21875" style="2" bestFit="1" customWidth="1"/>
    <col min="7" max="7" width="9" style="2"/>
    <col min="8" max="8" width="10.44140625" style="2" customWidth="1"/>
    <col min="9" max="9" width="9" style="2"/>
    <col min="10" max="10" width="11.6640625" style="2" bestFit="1" customWidth="1"/>
    <col min="11" max="11" width="14.77734375" style="2" customWidth="1"/>
    <col min="12" max="12" width="13.21875" style="2" bestFit="1" customWidth="1"/>
    <col min="13" max="14" width="11.109375" style="2" bestFit="1" customWidth="1"/>
    <col min="15" max="16384" width="9" style="2"/>
  </cols>
  <sheetData>
    <row r="1" spans="1:13" ht="17.399999999999999" x14ac:dyDescent="0.3">
      <c r="A1" s="1" t="s">
        <v>0</v>
      </c>
      <c r="B1" s="1"/>
      <c r="C1" s="1"/>
      <c r="D1" s="1"/>
      <c r="E1" s="1"/>
      <c r="F1" s="1"/>
    </row>
    <row r="2" spans="1:13" ht="14.4" x14ac:dyDescent="0.3">
      <c r="F2" s="3" t="s">
        <v>1</v>
      </c>
    </row>
    <row r="3" spans="1:13" x14ac:dyDescent="0.25">
      <c r="A3" s="4" t="s">
        <v>2</v>
      </c>
    </row>
    <row r="4" spans="1:13" x14ac:dyDescent="0.25">
      <c r="A4" s="4" t="s">
        <v>3</v>
      </c>
      <c r="B4" s="4" t="s">
        <v>4</v>
      </c>
      <c r="C4" s="4" t="s">
        <v>5</v>
      </c>
      <c r="E4" s="5">
        <v>1</v>
      </c>
    </row>
    <row r="5" spans="1:13" x14ac:dyDescent="0.25">
      <c r="B5" s="4" t="s">
        <v>6</v>
      </c>
      <c r="C5" s="4" t="s">
        <v>7</v>
      </c>
      <c r="D5" s="4" t="s">
        <v>8</v>
      </c>
      <c r="E5" s="6">
        <f>[1]CS!E14</f>
        <v>7</v>
      </c>
      <c r="F5" s="4" t="s">
        <v>9</v>
      </c>
    </row>
    <row r="6" spans="1:13" x14ac:dyDescent="0.25">
      <c r="D6" s="4" t="s">
        <v>10</v>
      </c>
      <c r="E6" s="5">
        <f>[1]CS!F14</f>
        <v>0</v>
      </c>
      <c r="F6" s="4" t="s">
        <v>9</v>
      </c>
    </row>
    <row r="7" spans="1:13" x14ac:dyDescent="0.25">
      <c r="C7" s="4" t="s">
        <v>11</v>
      </c>
      <c r="D7" s="7" t="s">
        <v>12</v>
      </c>
      <c r="E7" s="8">
        <f>[1]CS!G14</f>
        <v>7</v>
      </c>
      <c r="F7" s="4" t="s">
        <v>9</v>
      </c>
    </row>
    <row r="8" spans="1:13" x14ac:dyDescent="0.25">
      <c r="C8" s="4" t="s">
        <v>13</v>
      </c>
      <c r="E8" s="6">
        <f>SUM(E5:E7)</f>
        <v>14</v>
      </c>
      <c r="F8" s="4" t="s">
        <v>9</v>
      </c>
    </row>
    <row r="9" spans="1:13" x14ac:dyDescent="0.25">
      <c r="C9" s="4" t="s">
        <v>14</v>
      </c>
      <c r="D9" s="9">
        <f>[1]CS!O13</f>
        <v>8.5000000000000006E-2</v>
      </c>
      <c r="E9" s="10" t="s">
        <v>15</v>
      </c>
      <c r="F9" s="4" t="s">
        <v>16</v>
      </c>
      <c r="I9" s="4" t="s">
        <v>17</v>
      </c>
      <c r="J9" s="2">
        <f>D9*$E$7</f>
        <v>0.59500000000000008</v>
      </c>
      <c r="K9" s="4" t="s">
        <v>9</v>
      </c>
    </row>
    <row r="10" spans="1:13" x14ac:dyDescent="0.25">
      <c r="C10" s="4"/>
      <c r="D10" s="9">
        <f>[1]CS!M13</f>
        <v>0.15</v>
      </c>
      <c r="E10" s="10" t="s">
        <v>15</v>
      </c>
      <c r="F10" s="4" t="s">
        <v>18</v>
      </c>
      <c r="J10" s="2">
        <f>D10*$E$7</f>
        <v>1.05</v>
      </c>
      <c r="K10" s="4" t="s">
        <v>9</v>
      </c>
    </row>
    <row r="11" spans="1:13" x14ac:dyDescent="0.25">
      <c r="C11" s="4"/>
      <c r="D11" s="9">
        <f>[1]CS!H10</f>
        <v>0.21499999999999997</v>
      </c>
      <c r="E11" s="10" t="s">
        <v>15</v>
      </c>
      <c r="F11" s="4" t="s">
        <v>19</v>
      </c>
      <c r="J11" s="2">
        <f>D11*$E$7</f>
        <v>1.5049999999999999</v>
      </c>
      <c r="K11" s="4" t="s">
        <v>9</v>
      </c>
    </row>
    <row r="12" spans="1:13" x14ac:dyDescent="0.25">
      <c r="C12" s="4"/>
      <c r="D12" s="9">
        <f>[1]CS!I10</f>
        <v>0.05</v>
      </c>
      <c r="E12" s="10" t="s">
        <v>15</v>
      </c>
      <c r="F12" s="4" t="s">
        <v>20</v>
      </c>
      <c r="J12" s="2">
        <f>D12*$E$7</f>
        <v>0.35000000000000003</v>
      </c>
      <c r="K12" s="4" t="s">
        <v>9</v>
      </c>
    </row>
    <row r="13" spans="1:13" x14ac:dyDescent="0.25">
      <c r="C13" s="4" t="s">
        <v>21</v>
      </c>
      <c r="D13" s="9">
        <f>100%-D9-D10-D11-D12</f>
        <v>0.5</v>
      </c>
      <c r="E13" s="10" t="s">
        <v>15</v>
      </c>
      <c r="F13" s="4" t="s">
        <v>22</v>
      </c>
      <c r="J13" s="2">
        <f>D13*$E$7</f>
        <v>3.5</v>
      </c>
      <c r="K13" s="4" t="s">
        <v>9</v>
      </c>
    </row>
    <row r="14" spans="1:13" x14ac:dyDescent="0.25">
      <c r="C14" s="4"/>
      <c r="D14" s="4" t="s">
        <v>23</v>
      </c>
      <c r="E14" s="10"/>
      <c r="F14" s="4"/>
      <c r="G14" s="9">
        <f>D13</f>
        <v>0.5</v>
      </c>
      <c r="H14" s="4" t="s">
        <v>24</v>
      </c>
      <c r="J14" s="2">
        <f>I19</f>
        <v>140</v>
      </c>
      <c r="K14" s="4" t="s">
        <v>25</v>
      </c>
      <c r="L14" s="2">
        <f>G14*E7</f>
        <v>3.5</v>
      </c>
      <c r="M14" s="4" t="s">
        <v>9</v>
      </c>
    </row>
    <row r="15" spans="1:13" x14ac:dyDescent="0.25">
      <c r="D15" s="4" t="s">
        <v>23</v>
      </c>
      <c r="F15" s="9"/>
      <c r="G15" s="11">
        <f>D13</f>
        <v>0.5</v>
      </c>
      <c r="H15" s="4" t="s">
        <v>24</v>
      </c>
      <c r="J15" s="2">
        <f>I21</f>
        <v>70</v>
      </c>
      <c r="K15" s="4" t="s">
        <v>25</v>
      </c>
      <c r="L15" s="2">
        <v>0</v>
      </c>
      <c r="M15" s="4" t="s">
        <v>9</v>
      </c>
    </row>
    <row r="16" spans="1:13" x14ac:dyDescent="0.25">
      <c r="C16" s="4"/>
      <c r="D16" s="9"/>
      <c r="E16" s="10"/>
      <c r="F16" s="4"/>
    </row>
    <row r="17" spans="1:16" x14ac:dyDescent="0.25">
      <c r="C17" s="4" t="s">
        <v>26</v>
      </c>
      <c r="E17" s="12">
        <v>10</v>
      </c>
      <c r="F17" s="4" t="s">
        <v>15</v>
      </c>
    </row>
    <row r="18" spans="1:16" x14ac:dyDescent="0.25">
      <c r="C18" s="4"/>
      <c r="F18" s="4"/>
    </row>
    <row r="19" spans="1:16" x14ac:dyDescent="0.25">
      <c r="A19" s="4" t="s">
        <v>27</v>
      </c>
      <c r="C19" s="4" t="s">
        <v>28</v>
      </c>
      <c r="F19" s="6">
        <f>E8</f>
        <v>14</v>
      </c>
      <c r="G19" s="4" t="s">
        <v>9</v>
      </c>
      <c r="H19" s="4" t="s">
        <v>25</v>
      </c>
      <c r="I19" s="5">
        <f>E8*100/E17</f>
        <v>140</v>
      </c>
      <c r="J19" s="4" t="s">
        <v>9</v>
      </c>
    </row>
    <row r="20" spans="1:16" ht="14.4" x14ac:dyDescent="0.25">
      <c r="A20" s="4"/>
      <c r="C20" s="4" t="s">
        <v>29</v>
      </c>
      <c r="F20" s="6"/>
      <c r="G20" s="4"/>
      <c r="H20" s="4"/>
      <c r="I20" s="13">
        <f>L14/I19</f>
        <v>2.5000000000000001E-2</v>
      </c>
      <c r="J20" s="4"/>
    </row>
    <row r="21" spans="1:16" x14ac:dyDescent="0.25">
      <c r="C21" s="4" t="s">
        <v>30</v>
      </c>
      <c r="F21" s="6">
        <f>E5+E6</f>
        <v>7</v>
      </c>
      <c r="G21" s="4" t="s">
        <v>9</v>
      </c>
      <c r="I21" s="5">
        <f>(E5+E6)*100/E17</f>
        <v>70</v>
      </c>
      <c r="J21" s="4" t="s">
        <v>9</v>
      </c>
    </row>
    <row r="22" spans="1:16" ht="14.4" x14ac:dyDescent="0.25">
      <c r="C22" s="4" t="s">
        <v>31</v>
      </c>
      <c r="I22" s="13">
        <f>0%</f>
        <v>0</v>
      </c>
      <c r="J22" s="4" t="s">
        <v>9</v>
      </c>
    </row>
    <row r="24" spans="1:16" x14ac:dyDescent="0.25">
      <c r="A24" s="4" t="s">
        <v>32</v>
      </c>
      <c r="C24" s="4" t="s">
        <v>33</v>
      </c>
      <c r="E24" s="2">
        <v>150</v>
      </c>
      <c r="F24" s="4" t="s">
        <v>9</v>
      </c>
    </row>
    <row r="25" spans="1:16" x14ac:dyDescent="0.25">
      <c r="C25" s="4" t="s">
        <v>34</v>
      </c>
      <c r="E25" s="2">
        <f>E24*E17/100</f>
        <v>15</v>
      </c>
      <c r="F25" s="4" t="s">
        <v>9</v>
      </c>
    </row>
    <row r="26" spans="1:16" x14ac:dyDescent="0.25">
      <c r="C26" s="4" t="s">
        <v>35</v>
      </c>
      <c r="E26" s="14">
        <f>E25-E5-E6-J9-J10-J11-J12</f>
        <v>4.5000000000000009</v>
      </c>
    </row>
    <row r="27" spans="1:16" ht="14.4" x14ac:dyDescent="0.3">
      <c r="C27" s="4" t="s">
        <v>36</v>
      </c>
      <c r="E27" s="15">
        <f>E26/E24</f>
        <v>3.0000000000000006E-2</v>
      </c>
      <c r="F27" s="4" t="s">
        <v>15</v>
      </c>
    </row>
    <row r="28" spans="1:16" ht="14.4" x14ac:dyDescent="0.3">
      <c r="C28" s="4" t="s">
        <v>37</v>
      </c>
      <c r="E28" s="16">
        <f>E24/C39</f>
        <v>1.0714285714285714</v>
      </c>
    </row>
    <row r="29" spans="1:16" ht="14.4" x14ac:dyDescent="0.3">
      <c r="C29" s="4"/>
      <c r="E29" s="16"/>
    </row>
    <row r="30" spans="1:16" x14ac:dyDescent="0.25">
      <c r="B30" s="47" t="s">
        <v>15</v>
      </c>
      <c r="C30" s="47" t="s">
        <v>38</v>
      </c>
      <c r="D30" s="47" t="s">
        <v>39</v>
      </c>
      <c r="E30" s="47" t="s">
        <v>40</v>
      </c>
      <c r="F30" s="47" t="s">
        <v>41</v>
      </c>
      <c r="G30" s="48" t="s">
        <v>42</v>
      </c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B31" s="47"/>
      <c r="C31" s="47"/>
      <c r="D31" s="47"/>
      <c r="E31" s="47"/>
      <c r="F31" s="47"/>
      <c r="G31" s="47" t="s">
        <v>43</v>
      </c>
      <c r="H31" s="47"/>
      <c r="I31" s="47"/>
      <c r="J31" s="47"/>
      <c r="K31" s="48" t="s">
        <v>44</v>
      </c>
      <c r="L31" s="48"/>
      <c r="M31" s="48" t="s">
        <v>45</v>
      </c>
      <c r="N31" s="48"/>
      <c r="O31" s="48" t="s">
        <v>46</v>
      </c>
      <c r="P31" s="48"/>
    </row>
    <row r="32" spans="1:16" x14ac:dyDescent="0.25">
      <c r="B32" s="47"/>
      <c r="C32" s="47"/>
      <c r="D32" s="47"/>
      <c r="E32" s="47"/>
      <c r="F32" s="47"/>
      <c r="G32" s="47" t="s">
        <v>47</v>
      </c>
      <c r="H32" s="47"/>
      <c r="I32" s="47" t="s">
        <v>48</v>
      </c>
      <c r="J32" s="47"/>
      <c r="K32" s="48" t="s">
        <v>48</v>
      </c>
      <c r="L32" s="48"/>
      <c r="M32" s="48" t="s">
        <v>49</v>
      </c>
      <c r="N32" s="48"/>
      <c r="O32" s="48" t="s">
        <v>49</v>
      </c>
      <c r="P32" s="48"/>
    </row>
    <row r="33" spans="1:16" x14ac:dyDescent="0.25">
      <c r="B33" s="47"/>
      <c r="C33" s="47"/>
      <c r="D33" s="47"/>
      <c r="E33" s="47"/>
      <c r="F33" s="47"/>
      <c r="G33" s="49" t="s">
        <v>50</v>
      </c>
      <c r="H33" s="49" t="s">
        <v>51</v>
      </c>
      <c r="I33" s="49" t="s">
        <v>50</v>
      </c>
      <c r="J33" s="49" t="s">
        <v>51</v>
      </c>
      <c r="K33" s="49" t="s">
        <v>50</v>
      </c>
      <c r="L33" s="50" t="s">
        <v>51</v>
      </c>
      <c r="M33" s="49" t="s">
        <v>50</v>
      </c>
      <c r="N33" s="50" t="s">
        <v>51</v>
      </c>
      <c r="O33" s="49" t="s">
        <v>50</v>
      </c>
      <c r="P33" s="50" t="s">
        <v>51</v>
      </c>
    </row>
    <row r="34" spans="1:16" x14ac:dyDescent="0.25">
      <c r="B34" s="18">
        <v>0.5</v>
      </c>
      <c r="C34" s="19">
        <f>I21</f>
        <v>70</v>
      </c>
      <c r="D34" s="20">
        <f>(C34*E17/100-E5-E6-J9-J10-J11-J12)/C34</f>
        <v>-0.05</v>
      </c>
      <c r="E34" s="19">
        <v>0</v>
      </c>
      <c r="F34" s="21" t="s">
        <v>9</v>
      </c>
      <c r="G34" s="22"/>
      <c r="H34" s="23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B35" s="18">
        <v>0.67</v>
      </c>
      <c r="C35" s="19">
        <f>B35*C39</f>
        <v>93.800000000000011</v>
      </c>
      <c r="D35" s="20">
        <f>(C35*E17/100-E5-E6-J9-J10-J11-J12)/C35</f>
        <v>-1.194029850746268E-2</v>
      </c>
      <c r="E35" s="19">
        <v>0</v>
      </c>
      <c r="F35" s="21" t="s">
        <v>9</v>
      </c>
      <c r="G35" s="22">
        <f t="shared" ref="G35:G42" si="0">$E$5+$E$6+$J$9+E35</f>
        <v>7.5949999999999998</v>
      </c>
      <c r="H35" s="23"/>
      <c r="I35" s="22">
        <f>[1]CS!$T$15+E35</f>
        <v>10.934999999999999</v>
      </c>
      <c r="J35" s="22">
        <f>6+C35*1.75%</f>
        <v>7.6415000000000006</v>
      </c>
      <c r="K35" s="22">
        <f>I35+[1]CS!I15+[1]CS!M15+[1]CS!O15</f>
        <v>13.499999999999998</v>
      </c>
      <c r="L35" s="22">
        <f>J35+8/12</f>
        <v>8.3081666666666667</v>
      </c>
      <c r="M35" s="22">
        <f>[1]CS!$T$16+E35</f>
        <v>13.365</v>
      </c>
      <c r="N35" s="22"/>
      <c r="O35" s="22">
        <f>E35+[1]CS!I16+[1]CS!M16+[1]CS!O16</f>
        <v>3.1350000000000002</v>
      </c>
      <c r="P35" s="22"/>
    </row>
    <row r="36" spans="1:16" x14ac:dyDescent="0.25">
      <c r="A36" s="4" t="s">
        <v>52</v>
      </c>
      <c r="B36" s="18">
        <v>0.75</v>
      </c>
      <c r="C36" s="19">
        <f>B36*C39</f>
        <v>105</v>
      </c>
      <c r="D36" s="20">
        <f>(C36*E17/100-E5-E6-J9-J10-J11-J12)/C36</f>
        <v>-1.5860328923216522E-18</v>
      </c>
      <c r="E36" s="24">
        <v>0</v>
      </c>
      <c r="F36" s="25" t="s">
        <v>9</v>
      </c>
      <c r="G36" s="22">
        <f t="shared" si="0"/>
        <v>7.5949999999999998</v>
      </c>
      <c r="H36" s="23"/>
      <c r="I36" s="22">
        <f>[1]CS!$T$15+E36</f>
        <v>10.934999999999999</v>
      </c>
      <c r="J36" s="22">
        <f>6+C36*1.75%</f>
        <v>7.8375000000000004</v>
      </c>
      <c r="K36" s="22">
        <f>I36+[1]CS!I15+[1]CS!M15+[1]CS!O15</f>
        <v>13.499999999999998</v>
      </c>
      <c r="L36" s="22">
        <f t="shared" ref="L36:L42" si="1">J36+8/12</f>
        <v>8.5041666666666664</v>
      </c>
      <c r="M36" s="22">
        <f>[1]CS!$T$16+E36</f>
        <v>13.365</v>
      </c>
      <c r="N36" s="22"/>
      <c r="O36" s="22">
        <f>E36+[1]CS!I16+[1]CS!M16+[1]CS!O16</f>
        <v>3.1350000000000002</v>
      </c>
      <c r="P36" s="22"/>
    </row>
    <row r="37" spans="1:16" x14ac:dyDescent="0.25">
      <c r="B37" s="18">
        <v>0.8</v>
      </c>
      <c r="C37" s="19">
        <f>B37*C39</f>
        <v>112</v>
      </c>
      <c r="D37" s="20">
        <f>(C37*E17/100-E5-E6-J9-J10-J11-J12)/C37</f>
        <v>6.2499999999999899E-3</v>
      </c>
      <c r="E37" s="24">
        <f t="shared" ref="E37:E42" si="2">D37*C37</f>
        <v>0.69999999999999885</v>
      </c>
      <c r="F37" s="25" t="s">
        <v>9</v>
      </c>
      <c r="G37" s="22">
        <f t="shared" si="0"/>
        <v>8.2949999999999982</v>
      </c>
      <c r="H37" s="23"/>
      <c r="I37" s="22">
        <f>[1]CS!$T$15+E37</f>
        <v>11.634999999999998</v>
      </c>
      <c r="J37" s="22">
        <f>6+C37*1.75%</f>
        <v>7.96</v>
      </c>
      <c r="K37" s="22">
        <f>I37+[1]CS!I15+[1]CS!M15+[1]CS!O15</f>
        <v>14.199999999999998</v>
      </c>
      <c r="L37" s="22">
        <f t="shared" si="1"/>
        <v>8.6266666666666669</v>
      </c>
      <c r="M37" s="22">
        <f>[1]CS!$T$16+E37</f>
        <v>14.065</v>
      </c>
      <c r="N37" s="22"/>
      <c r="O37" s="22">
        <f>E37+[1]CS!I16+[1]CS!M16+[1]CS!O16</f>
        <v>3.8349999999999986</v>
      </c>
      <c r="P37" s="22"/>
    </row>
    <row r="38" spans="1:16" x14ac:dyDescent="0.25">
      <c r="B38" s="18">
        <v>0.9</v>
      </c>
      <c r="C38" s="19">
        <f>B38*C39</f>
        <v>126</v>
      </c>
      <c r="D38" s="20">
        <f>(C38*E17/100-E5-E6-J9-J10-J11-J12)/C38</f>
        <v>1.6666666666666666E-2</v>
      </c>
      <c r="E38" s="24">
        <f t="shared" si="2"/>
        <v>2.1</v>
      </c>
      <c r="F38" s="25" t="s">
        <v>9</v>
      </c>
      <c r="G38" s="22">
        <f t="shared" si="0"/>
        <v>9.6950000000000003</v>
      </c>
      <c r="H38" s="23"/>
      <c r="I38" s="22">
        <f>[1]CS!$T$15+E38</f>
        <v>13.034999999999998</v>
      </c>
      <c r="J38" s="22">
        <f>6+C38*2%</f>
        <v>8.52</v>
      </c>
      <c r="K38" s="22">
        <f>I38+[1]CS!I15+[1]CS!M15+[1]CS!O15</f>
        <v>15.599999999999998</v>
      </c>
      <c r="L38" s="22">
        <f t="shared" si="1"/>
        <v>9.1866666666666656</v>
      </c>
      <c r="M38" s="22">
        <f>[1]CS!$T$16+E38</f>
        <v>15.465</v>
      </c>
      <c r="N38" s="22"/>
      <c r="O38" s="22">
        <f>E38+[1]CS!I16+[1]CS!M16+[1]CS!O16</f>
        <v>5.2350000000000012</v>
      </c>
      <c r="P38" s="22"/>
    </row>
    <row r="39" spans="1:16" x14ac:dyDescent="0.25">
      <c r="B39" s="18">
        <v>1</v>
      </c>
      <c r="C39" s="24">
        <f>I19</f>
        <v>140</v>
      </c>
      <c r="D39" s="20">
        <f>I20</f>
        <v>2.5000000000000001E-2</v>
      </c>
      <c r="E39" s="24">
        <f t="shared" si="2"/>
        <v>3.5</v>
      </c>
      <c r="F39" s="25" t="s">
        <v>9</v>
      </c>
      <c r="G39" s="22">
        <f t="shared" si="0"/>
        <v>11.094999999999999</v>
      </c>
      <c r="H39" s="23"/>
      <c r="I39" s="22">
        <f>[1]CS!$T$15+E39</f>
        <v>14.434999999999999</v>
      </c>
      <c r="J39" s="22">
        <f>6+C39*3%</f>
        <v>10.199999999999999</v>
      </c>
      <c r="K39" s="22">
        <f>I39+[1]CS!I15+[1]CS!M15+[1]CS!O15</f>
        <v>17</v>
      </c>
      <c r="L39" s="22">
        <f t="shared" si="1"/>
        <v>10.866666666666665</v>
      </c>
      <c r="M39" s="22">
        <f>[1]CS!$T$16+E39</f>
        <v>16.865000000000002</v>
      </c>
      <c r="N39" s="22"/>
      <c r="O39" s="22">
        <f>E39+[1]CS!I16+[1]CS!M16+[1]CS!O16</f>
        <v>6.6349999999999998</v>
      </c>
      <c r="P39" s="22"/>
    </row>
    <row r="40" spans="1:16" s="26" customFormat="1" x14ac:dyDescent="0.25">
      <c r="B40" s="27">
        <v>1.2</v>
      </c>
      <c r="C40" s="28">
        <f>B40*C39</f>
        <v>168</v>
      </c>
      <c r="D40" s="29">
        <f>(C40*E17/100-E5-E6-J9-J10-J11-J12)/C40</f>
        <v>3.7499999999999999E-2</v>
      </c>
      <c r="E40" s="30">
        <f t="shared" si="2"/>
        <v>6.3</v>
      </c>
      <c r="F40" s="31" t="s">
        <v>9</v>
      </c>
      <c r="G40" s="32">
        <f t="shared" si="0"/>
        <v>13.895</v>
      </c>
      <c r="H40" s="33"/>
      <c r="I40" s="22">
        <f>[1]CS!$T$15+E40</f>
        <v>17.234999999999999</v>
      </c>
      <c r="J40" s="32">
        <f>6+C40*3.5%</f>
        <v>11.88</v>
      </c>
      <c r="K40" s="22">
        <f>I40+[1]CS!I15+[1]CS!M15+[1]CS!O15</f>
        <v>19.8</v>
      </c>
      <c r="L40" s="32">
        <f t="shared" si="1"/>
        <v>12.546666666666667</v>
      </c>
      <c r="M40" s="22">
        <f>[1]CS!$T$16+E40</f>
        <v>19.664999999999999</v>
      </c>
      <c r="N40" s="32">
        <f>6+C40*3.5%</f>
        <v>11.88</v>
      </c>
      <c r="O40" s="22">
        <f>E40+[1]CS!I16+[1]CS!M16+[1]CS!O16</f>
        <v>9.4350000000000005</v>
      </c>
      <c r="P40" s="32">
        <f t="shared" ref="P40" si="3">N40+8/12</f>
        <v>12.546666666666667</v>
      </c>
    </row>
    <row r="41" spans="1:16" x14ac:dyDescent="0.25">
      <c r="B41" s="34">
        <v>1.5</v>
      </c>
      <c r="C41" s="35">
        <f>C39*B41</f>
        <v>210</v>
      </c>
      <c r="D41" s="20">
        <f>(C41*E17/100-E5-E6-J9-J10-J11-J12)/C41</f>
        <v>4.9999999999999989E-2</v>
      </c>
      <c r="E41" s="24">
        <f t="shared" si="2"/>
        <v>10.499999999999998</v>
      </c>
      <c r="F41" s="25" t="s">
        <v>9</v>
      </c>
      <c r="G41" s="22">
        <f t="shared" si="0"/>
        <v>18.094999999999999</v>
      </c>
      <c r="H41" s="23"/>
      <c r="I41" s="22">
        <f>[1]CS!$T$15+E41</f>
        <v>21.434999999999995</v>
      </c>
      <c r="J41" s="22">
        <f>6+C41*3.5%</f>
        <v>13.350000000000001</v>
      </c>
      <c r="K41" s="22">
        <f>I41+[1]CS!I15+[1]CS!M15+[1]CS!O15</f>
        <v>23.999999999999996</v>
      </c>
      <c r="L41" s="22">
        <f t="shared" si="1"/>
        <v>14.016666666666667</v>
      </c>
      <c r="M41" s="22">
        <f>[1]CS!$T$16+E41</f>
        <v>23.864999999999998</v>
      </c>
      <c r="N41" s="22"/>
      <c r="O41" s="22">
        <f>E41+[1]CS!I16+[1]CS!M16+[1]CS!O16</f>
        <v>13.635</v>
      </c>
      <c r="P41" s="22"/>
    </row>
    <row r="42" spans="1:16" x14ac:dyDescent="0.25">
      <c r="B42" s="36"/>
      <c r="C42" s="35">
        <v>1500</v>
      </c>
      <c r="D42" s="20">
        <f>(C42*E17/100-E5-E6-J9-J10-J11-J12)/C42</f>
        <v>9.2999999999999999E-2</v>
      </c>
      <c r="E42" s="24">
        <f t="shared" si="2"/>
        <v>139.5</v>
      </c>
      <c r="F42" s="25" t="s">
        <v>9</v>
      </c>
      <c r="G42" s="22">
        <f t="shared" si="0"/>
        <v>147.095</v>
      </c>
      <c r="H42" s="23"/>
      <c r="I42" s="22">
        <f>[1]CS!$T$15+E42</f>
        <v>150.435</v>
      </c>
      <c r="J42" s="22">
        <f>6+C42*3.5%</f>
        <v>58.500000000000007</v>
      </c>
      <c r="K42" s="22">
        <f>I42+[1]CS!I15+[1]CS!M15+[1]CS!O15</f>
        <v>152.99999999999997</v>
      </c>
      <c r="L42" s="22">
        <f t="shared" si="1"/>
        <v>59.166666666666671</v>
      </c>
      <c r="M42" s="22">
        <f>[1]CS!$T$16+E42</f>
        <v>152.86500000000001</v>
      </c>
      <c r="N42" s="22"/>
      <c r="O42" s="22">
        <f>E42+[1]CS!I16+[1]CS!M16+[1]CS!O16</f>
        <v>142.63500000000002</v>
      </c>
      <c r="P42" s="22"/>
    </row>
    <row r="45" spans="1:16" x14ac:dyDescent="0.25">
      <c r="C45" s="4" t="s">
        <v>53</v>
      </c>
    </row>
    <row r="46" spans="1:16" x14ac:dyDescent="0.25">
      <c r="C46" s="51"/>
      <c r="D46" s="52" t="s">
        <v>38</v>
      </c>
      <c r="E46" s="52" t="s">
        <v>54</v>
      </c>
      <c r="F46" s="52" t="s">
        <v>55</v>
      </c>
      <c r="G46" s="52" t="s">
        <v>56</v>
      </c>
      <c r="H46" s="51" t="s">
        <v>57</v>
      </c>
      <c r="I46" s="51"/>
      <c r="J46" s="51"/>
      <c r="K46" s="51"/>
      <c r="L46" s="51"/>
      <c r="M46" s="51"/>
      <c r="N46" s="51"/>
      <c r="O46" s="53" t="s">
        <v>58</v>
      </c>
      <c r="P46" s="54" t="s">
        <v>59</v>
      </c>
    </row>
    <row r="47" spans="1:16" x14ac:dyDescent="0.25">
      <c r="C47" s="51"/>
      <c r="D47" s="52"/>
      <c r="E47" s="52"/>
      <c r="F47" s="52"/>
      <c r="G47" s="52"/>
      <c r="H47" s="55"/>
      <c r="I47" s="56" t="s">
        <v>60</v>
      </c>
      <c r="J47" s="56" t="s">
        <v>60</v>
      </c>
      <c r="K47" s="56" t="s">
        <v>60</v>
      </c>
      <c r="L47" s="56" t="s">
        <v>60</v>
      </c>
      <c r="M47" s="56" t="s">
        <v>60</v>
      </c>
      <c r="N47" s="56" t="s">
        <v>60</v>
      </c>
      <c r="O47" s="53"/>
      <c r="P47" s="54"/>
    </row>
    <row r="48" spans="1:16" x14ac:dyDescent="0.25">
      <c r="C48" s="51"/>
      <c r="D48" s="52"/>
      <c r="E48" s="52"/>
      <c r="F48" s="52"/>
      <c r="G48" s="52"/>
      <c r="H48" s="52" t="s">
        <v>61</v>
      </c>
      <c r="I48" s="45">
        <f>C36</f>
        <v>105</v>
      </c>
      <c r="J48" s="45">
        <f>C37</f>
        <v>112</v>
      </c>
      <c r="K48" s="45">
        <f>C38</f>
        <v>126</v>
      </c>
      <c r="L48" s="45">
        <f>C39</f>
        <v>140</v>
      </c>
      <c r="M48" s="46">
        <f>C40</f>
        <v>168</v>
      </c>
      <c r="N48" s="45">
        <f>C41</f>
        <v>210</v>
      </c>
      <c r="O48" s="53"/>
      <c r="P48" s="53"/>
    </row>
    <row r="49" spans="3:16" ht="14.4" x14ac:dyDescent="0.25">
      <c r="C49" s="51"/>
      <c r="D49" s="52"/>
      <c r="E49" s="52"/>
      <c r="F49" s="52"/>
      <c r="G49" s="52"/>
      <c r="H49" s="52"/>
      <c r="I49" s="57">
        <f>D36</f>
        <v>-1.5860328923216522E-18</v>
      </c>
      <c r="J49" s="58">
        <f>D37</f>
        <v>6.2499999999999899E-3</v>
      </c>
      <c r="K49" s="58">
        <f>D38</f>
        <v>1.6666666666666666E-2</v>
      </c>
      <c r="L49" s="58">
        <f>D39</f>
        <v>2.5000000000000001E-2</v>
      </c>
      <c r="M49" s="59">
        <f>D40</f>
        <v>3.7499999999999999E-2</v>
      </c>
      <c r="N49" s="59">
        <f>D41</f>
        <v>4.9999999999999989E-2</v>
      </c>
      <c r="O49" s="53"/>
      <c r="P49" s="53"/>
    </row>
    <row r="50" spans="3:16" ht="14.4" x14ac:dyDescent="0.3">
      <c r="C50" s="36" t="s">
        <v>62</v>
      </c>
      <c r="D50" s="37">
        <v>170000000</v>
      </c>
      <c r="E50" s="37">
        <f>SUM(F50:N50)</f>
        <v>13333334.333333334</v>
      </c>
      <c r="F50" s="37">
        <f>($E$5+$E$6)*1000000</f>
        <v>7000000</v>
      </c>
      <c r="G50" s="38">
        <v>1</v>
      </c>
      <c r="H50" s="37">
        <f t="shared" ref="H50:H55" si="4">($J$11+$J$10+$J$9+$J$12)*1000000*G50</f>
        <v>3500000</v>
      </c>
      <c r="I50" s="39"/>
      <c r="J50" s="39"/>
      <c r="K50" s="39">
        <f>K49*D50</f>
        <v>2833333.3333333335</v>
      </c>
      <c r="L50" s="39"/>
      <c r="M50" s="36"/>
      <c r="N50" s="36"/>
      <c r="O50" s="40">
        <f t="shared" ref="O50:O55" si="5">E50/D50</f>
        <v>7.8431378431372559E-2</v>
      </c>
      <c r="P50" s="41">
        <f>$E$17</f>
        <v>10</v>
      </c>
    </row>
    <row r="51" spans="3:16" ht="14.4" x14ac:dyDescent="0.3">
      <c r="C51" s="42" t="s">
        <v>63</v>
      </c>
      <c r="D51" s="39">
        <v>150000000</v>
      </c>
      <c r="E51" s="37">
        <f t="shared" ref="E51:E55" si="6">SUM(F51:N51)</f>
        <v>13550000.800000001</v>
      </c>
      <c r="F51" s="37">
        <f t="shared" ref="F51:F55" si="7">($E$5+$E$6)*1000000</f>
        <v>7000000</v>
      </c>
      <c r="G51" s="38">
        <v>0.8</v>
      </c>
      <c r="H51" s="37">
        <f t="shared" si="4"/>
        <v>2800000</v>
      </c>
      <c r="I51" s="39"/>
      <c r="J51" s="39"/>
      <c r="K51" s="39"/>
      <c r="L51" s="39">
        <f>L49*D51</f>
        <v>3750000</v>
      </c>
      <c r="M51" s="36"/>
      <c r="N51" s="36"/>
      <c r="O51" s="40">
        <f t="shared" si="5"/>
        <v>9.0333338666666665E-2</v>
      </c>
      <c r="P51" s="41">
        <f t="shared" ref="P51:P55" si="8">$E$17</f>
        <v>10</v>
      </c>
    </row>
    <row r="52" spans="3:16" ht="14.4" x14ac:dyDescent="0.3">
      <c r="C52" s="43" t="s">
        <v>64</v>
      </c>
      <c r="D52" s="39">
        <v>120000000</v>
      </c>
      <c r="E52" s="37">
        <f t="shared" si="6"/>
        <v>10550000.799999999</v>
      </c>
      <c r="F52" s="37">
        <f t="shared" si="7"/>
        <v>7000000</v>
      </c>
      <c r="G52" s="38">
        <v>0.8</v>
      </c>
      <c r="H52" s="37">
        <f t="shared" si="4"/>
        <v>2800000</v>
      </c>
      <c r="I52" s="39"/>
      <c r="J52" s="39">
        <f>J49*D52</f>
        <v>749999.99999999884</v>
      </c>
      <c r="K52" s="39"/>
      <c r="L52" s="39"/>
      <c r="M52" s="36"/>
      <c r="N52" s="36"/>
      <c r="O52" s="40">
        <f t="shared" si="5"/>
        <v>8.791667333333332E-2</v>
      </c>
      <c r="P52" s="41">
        <f t="shared" si="8"/>
        <v>10</v>
      </c>
    </row>
    <row r="53" spans="3:16" ht="14.4" x14ac:dyDescent="0.3">
      <c r="C53" s="44" t="s">
        <v>65</v>
      </c>
      <c r="D53" s="39">
        <v>240000000</v>
      </c>
      <c r="E53" s="37">
        <f t="shared" si="6"/>
        <v>9800000.8000000007</v>
      </c>
      <c r="F53" s="37">
        <f t="shared" si="7"/>
        <v>7000000</v>
      </c>
      <c r="G53" s="38">
        <v>0.8</v>
      </c>
      <c r="H53" s="37">
        <f t="shared" si="4"/>
        <v>2800000</v>
      </c>
      <c r="I53" s="39"/>
      <c r="J53" s="39"/>
      <c r="K53" s="39"/>
      <c r="L53" s="39"/>
      <c r="M53" s="36"/>
      <c r="N53" s="36"/>
      <c r="O53" s="40">
        <f t="shared" si="5"/>
        <v>4.0833336666666671E-2</v>
      </c>
      <c r="P53" s="41">
        <f t="shared" si="8"/>
        <v>10</v>
      </c>
    </row>
    <row r="54" spans="3:16" ht="14.4" x14ac:dyDescent="0.3">
      <c r="C54" s="17" t="s">
        <v>66</v>
      </c>
      <c r="D54" s="39">
        <v>170000000</v>
      </c>
      <c r="E54" s="37">
        <f t="shared" si="6"/>
        <v>16175000.800000001</v>
      </c>
      <c r="F54" s="37">
        <f t="shared" si="7"/>
        <v>7000000</v>
      </c>
      <c r="G54" s="38">
        <v>0.8</v>
      </c>
      <c r="H54" s="37">
        <f t="shared" si="4"/>
        <v>2800000</v>
      </c>
      <c r="I54" s="36"/>
      <c r="J54" s="39"/>
      <c r="K54" s="39"/>
      <c r="L54" s="39"/>
      <c r="M54" s="39">
        <f>$M$49*D54</f>
        <v>6375000</v>
      </c>
      <c r="N54" s="39"/>
      <c r="O54" s="40">
        <f t="shared" si="5"/>
        <v>9.5147063529411768E-2</v>
      </c>
      <c r="P54" s="41">
        <f t="shared" si="8"/>
        <v>10</v>
      </c>
    </row>
    <row r="55" spans="3:16" ht="14.4" x14ac:dyDescent="0.3">
      <c r="C55" s="17" t="s">
        <v>67</v>
      </c>
      <c r="D55" s="39">
        <v>900000000</v>
      </c>
      <c r="E55" s="37">
        <f t="shared" si="6"/>
        <v>54800000.799999997</v>
      </c>
      <c r="F55" s="37">
        <f t="shared" si="7"/>
        <v>7000000</v>
      </c>
      <c r="G55" s="38">
        <v>0.8</v>
      </c>
      <c r="H55" s="37">
        <f t="shared" si="4"/>
        <v>2800000</v>
      </c>
      <c r="I55" s="36"/>
      <c r="J55" s="39"/>
      <c r="K55" s="39"/>
      <c r="L55" s="39"/>
      <c r="M55" s="39"/>
      <c r="N55" s="39">
        <f>$N$49*D55</f>
        <v>44999999.999999993</v>
      </c>
      <c r="O55" s="40">
        <f t="shared" si="5"/>
        <v>6.0888889777777774E-2</v>
      </c>
      <c r="P55" s="41">
        <f t="shared" si="8"/>
        <v>10</v>
      </c>
    </row>
  </sheetData>
  <mergeCells count="25">
    <mergeCell ref="O46:O49"/>
    <mergeCell ref="P46:P49"/>
    <mergeCell ref="H48:H49"/>
    <mergeCell ref="C46:C49"/>
    <mergeCell ref="D46:D49"/>
    <mergeCell ref="E46:E49"/>
    <mergeCell ref="F46:F49"/>
    <mergeCell ref="G46:G49"/>
    <mergeCell ref="H46:N46"/>
    <mergeCell ref="G30:P30"/>
    <mergeCell ref="G31:J31"/>
    <mergeCell ref="K31:L31"/>
    <mergeCell ref="M31:N31"/>
    <mergeCell ref="O31:P31"/>
    <mergeCell ref="G32:H32"/>
    <mergeCell ref="I32:J32"/>
    <mergeCell ref="K32:L32"/>
    <mergeCell ref="M32:N32"/>
    <mergeCell ref="O32:P32"/>
    <mergeCell ref="A1:F1"/>
    <mergeCell ref="B30:B33"/>
    <mergeCell ref="C30:C33"/>
    <mergeCell ref="D30:D33"/>
    <mergeCell ref="E30:E33"/>
    <mergeCell ref="F30:F3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Hoa hong luy 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2023-06-24T11:32:58Z</dcterms:created>
  <dcterms:modified xsi:type="dcterms:W3CDTF">2023-06-24T11:34:12Z</dcterms:modified>
</cp:coreProperties>
</file>